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50" windowWidth="15360" windowHeight="11820" activeTab="0"/>
  </bookViews>
  <sheets>
    <sheet name="Work Sheet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<sst xmlns="http://schemas.openxmlformats.org/spreadsheetml/2006/main" count="71" uniqueCount="61">
  <si>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Year</t>
  </si>
  <si>
    <t>Adjusted Taxable Income</t>
  </si>
  <si>
    <t>Balance</t>
  </si>
  <si>
    <t>Total</t>
  </si>
  <si>
    <t xml:space="preserve">Amount Deferred to 457 Plan </t>
  </si>
  <si>
    <t xml:space="preserve">Amount Deferred to 403(b) </t>
  </si>
  <si>
    <t>Amount Deferred to 401(k)</t>
  </si>
  <si>
    <t>$ Could Have Deferred 25% or Max Allowed*</t>
  </si>
  <si>
    <t>Employee's Name:</t>
  </si>
  <si>
    <t>1986*</t>
  </si>
  <si>
    <t>1988**</t>
  </si>
  <si>
    <t>1989***</t>
  </si>
  <si>
    <t>*  ** *** Please see instructions on sheet 2</t>
  </si>
  <si>
    <t>Note:</t>
  </si>
  <si>
    <t>Actual Allowable Amount(1)</t>
  </si>
  <si>
    <t>Actual Allowable Amount (2)</t>
  </si>
  <si>
    <t>Max Catch-Up Allowed (3 yrs)</t>
  </si>
  <si>
    <t>Enter zeroes if not applicable</t>
  </si>
  <si>
    <r>
      <t xml:space="preserve">TO COMPUTE ELIGIBLE INCOME: </t>
    </r>
    <r>
      <rPr>
        <b/>
        <i/>
        <sz val="10"/>
        <rFont val="Arial"/>
        <family val="2"/>
      </rPr>
      <t>(do not enter in grey cells)</t>
    </r>
  </si>
  <si>
    <t>BASE PAY</t>
  </si>
  <si>
    <t>+</t>
  </si>
  <si>
    <t>LONGEVITY PAY</t>
  </si>
  <si>
    <t>HAZARDOUS DUTY PAY</t>
  </si>
  <si>
    <t>IMPUTED INCOME</t>
  </si>
  <si>
    <t>SPECIAL DUTY PAY</t>
  </si>
  <si>
    <t>BENEFIT REPLACEMENT PAY</t>
  </si>
  <si>
    <t>=</t>
  </si>
  <si>
    <t>-</t>
  </si>
  <si>
    <t>subject to limits Part Three of Payroll Calculation</t>
  </si>
  <si>
    <t>Taxable Income or ELIGIBLE INCOME</t>
  </si>
  <si>
    <t>UT FLEX PLAN</t>
  </si>
  <si>
    <r>
      <t xml:space="preserve">RETIREMENT </t>
    </r>
    <r>
      <rPr>
        <sz val="8"/>
        <rFont val="Arial"/>
        <family val="2"/>
      </rPr>
      <t>(Pre-tax contributions to TRS, ORP, or ERS)</t>
    </r>
  </si>
  <si>
    <t>Employee ID:</t>
  </si>
  <si>
    <t>Do not enter in yellow cells!</t>
  </si>
  <si>
    <t>1) Enter the adjusted income for every year of participation in the plan.</t>
  </si>
  <si>
    <t>2) For the years 1979 to 1989, enter any 457(b) contributions in the plan.</t>
  </si>
  <si>
    <t xml:space="preserve">by the participant while participating in the plan. </t>
  </si>
  <si>
    <t>4) For the years 2002 through current date, enter only 457(b) contributions made</t>
  </si>
  <si>
    <t xml:space="preserve">by the participant in the plan. </t>
  </si>
  <si>
    <t>Salaries and Contributions</t>
  </si>
  <si>
    <t xml:space="preserve">3) For the years 1990 through 2001, enter any 457(b), 403(b) or 401(k) contributions made </t>
  </si>
  <si>
    <t>Results:</t>
  </si>
  <si>
    <t>possible contributions over the course of their participation.</t>
  </si>
  <si>
    <t>eligible for the DCP special catch up.</t>
  </si>
  <si>
    <t>3) If the Total amount is greater than 0, then the participant is eligible to contribute</t>
  </si>
  <si>
    <t>FAQ</t>
  </si>
  <si>
    <t>1) Can a participant use the special catch-up during the year they are going to retire?</t>
  </si>
  <si>
    <t>A: No.  The DCP is only available for the 3 years PRIOR TO THE YEAR in</t>
  </si>
  <si>
    <t>2) Can a participant use the special catch up along with the age 50 catch up?</t>
  </si>
  <si>
    <t>A: No.  The participant must use one or the other, they cannot be combined.</t>
  </si>
  <si>
    <t>A: Then it would not be to the participant's advantage to use the special catch up.</t>
  </si>
  <si>
    <t>2) If the Total amount is 0 or a negative number, (red) then the participant is NOT</t>
  </si>
  <si>
    <t>3) What if the Special Catch up  is less than the age 50 catch-up?</t>
  </si>
  <si>
    <t>1) The Total at the bottom of Column I represents the under-used portion of the participant's</t>
  </si>
  <si>
    <t xml:space="preserve"> Cost of Living Index Rules 87.1 (19}}  (Rev. 1-99)</t>
  </si>
  <si>
    <t>* Figures Adjusted Annually According to the</t>
  </si>
  <si>
    <t>which the participant has declared either their actual or Normal Age retirement date.</t>
  </si>
  <si>
    <t xml:space="preserve">an additional amount of the lesser of the amount listed or $23,000.00 </t>
  </si>
  <si>
    <t>for 2024.</t>
  </si>
  <si>
    <t>Example:  Participant has an a potential catch-up amount of $23,000 for 2024.  Therefore,</t>
  </si>
  <si>
    <t>the participant can contribute $46,000 ($23,000 + $23,000).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</si>
</sst>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left" wrapText="1"/>
    </xf>
    <xf numFmtId="164" fontId="0" fillId="0" borderId="0" xfId="44" applyNumberFormat="1" applyAlignment="1">
      <alignment horizontal="left"/>
    </xf>
    <xf numFmtId="164" fontId="0" fillId="0" borderId="0" xfId="44" applyNumberForma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wrapText="1"/>
    </xf>
    <xf numFmtId="164" fontId="3" fillId="0" borderId="10" xfId="44" applyNumberFormat="1" applyFont="1" applyBorder="1" applyAlignment="1">
      <alignment horizontal="left" vertical="top" wrapText="1"/>
    </xf>
    <xf numFmtId="164" fontId="1" fillId="0" borderId="10" xfId="44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164" fontId="0" fillId="33" borderId="10" xfId="44" applyNumberFormat="1" applyFont="1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3" borderId="10" xfId="44" applyNumberForma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4" borderId="15" xfId="44" applyNumberFormat="1" applyFont="1" applyFill="1" applyBorder="1" applyAlignment="1">
      <alignment horizontal="left"/>
    </xf>
    <xf numFmtId="164" fontId="0" fillId="34" borderId="16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 wrapText="1"/>
    </xf>
    <xf numFmtId="164" fontId="1" fillId="33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44" applyNumberFormat="1" applyFont="1" applyAlignment="1">
      <alignment horizontal="left"/>
    </xf>
    <xf numFmtId="0" fontId="0" fillId="33" borderId="17" xfId="44" applyNumberFormat="1" applyFont="1" applyFill="1" applyBorder="1" applyAlignment="1">
      <alignment horizontal="center"/>
    </xf>
    <xf numFmtId="0" fontId="0" fillId="33" borderId="17" xfId="44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7" xfId="44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 horizontal="center" wrapText="1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164" fontId="0" fillId="35" borderId="12" xfId="0" applyNumberForma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center"/>
    </xf>
    <xf numFmtId="165" fontId="1" fillId="36" borderId="20" xfId="0" applyNumberFormat="1" applyFont="1" applyFill="1" applyBorder="1" applyAlignment="1">
      <alignment horizontal="center" wrapText="1"/>
    </xf>
    <xf numFmtId="164" fontId="1" fillId="35" borderId="20" xfId="0" applyNumberFormat="1" applyFont="1" applyFill="1" applyBorder="1" applyAlignment="1">
      <alignment horizontal="left"/>
    </xf>
    <xf numFmtId="164" fontId="1" fillId="35" borderId="20" xfId="0" applyNumberFormat="1" applyFont="1" applyFill="1" applyBorder="1" applyAlignment="1">
      <alignment horizontal="left" wrapText="1"/>
    </xf>
    <xf numFmtId="164" fontId="1" fillId="35" borderId="16" xfId="0" applyNumberFormat="1" applyFont="1" applyFill="1" applyBorder="1" applyAlignment="1">
      <alignment horizontal="left" wrapText="1"/>
    </xf>
    <xf numFmtId="164" fontId="0" fillId="0" borderId="10" xfId="44" applyNumberFormat="1" applyFont="1" applyBorder="1" applyAlignment="1" applyProtection="1">
      <alignment horizontal="left" wrapText="1"/>
      <protection locked="0"/>
    </xf>
    <xf numFmtId="164" fontId="0" fillId="0" borderId="10" xfId="44" applyNumberFormat="1" applyBorder="1" applyAlignment="1" applyProtection="1">
      <alignment horizontal="left" wrapText="1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7" xfId="44" applyNumberFormat="1" applyFont="1" applyBorder="1" applyAlignment="1" applyProtection="1">
      <alignment horizontal="left"/>
      <protection locked="0"/>
    </xf>
    <xf numFmtId="164" fontId="0" fillId="0" borderId="21" xfId="44" applyNumberFormat="1" applyFont="1" applyBorder="1" applyAlignment="1" applyProtection="1">
      <alignment horizontal="left"/>
      <protection locked="0"/>
    </xf>
    <xf numFmtId="165" fontId="0" fillId="35" borderId="19" xfId="0" applyNumberFormat="1" applyFill="1" applyBorder="1" applyAlignment="1" applyProtection="1">
      <alignment horizontal="center" wrapText="1"/>
      <protection locked="0"/>
    </xf>
    <xf numFmtId="165" fontId="0" fillId="35" borderId="0" xfId="0" applyNumberFormat="1" applyFill="1" applyBorder="1" applyAlignment="1" applyProtection="1">
      <alignment horizontal="center" wrapText="1"/>
      <protection locked="0"/>
    </xf>
    <xf numFmtId="165" fontId="0" fillId="35" borderId="20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33" borderId="11" xfId="44" applyNumberFormat="1" applyFont="1" applyFill="1" applyBorder="1" applyAlignment="1">
      <alignment horizontal="left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2" fillId="0" borderId="17" xfId="44" applyNumberFormat="1" applyFont="1" applyBorder="1" applyAlignment="1">
      <alignment horizontal="center"/>
    </xf>
    <xf numFmtId="164" fontId="2" fillId="0" borderId="22" xfId="44" applyNumberFormat="1" applyFont="1" applyBorder="1" applyAlignment="1">
      <alignment horizontal="center"/>
    </xf>
    <xf numFmtId="164" fontId="2" fillId="0" borderId="18" xfId="44" applyNumberFormat="1" applyFont="1" applyBorder="1" applyAlignment="1">
      <alignment horizontal="center"/>
    </xf>
    <xf numFmtId="164" fontId="0" fillId="0" borderId="23" xfId="0" applyNumberFormat="1" applyBorder="1" applyAlignment="1" applyProtection="1">
      <alignment horizontal="left" wrapText="1"/>
      <protection locked="0"/>
    </xf>
    <xf numFmtId="164" fontId="0" fillId="0" borderId="24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5</xdr:col>
      <xdr:colOff>1019175</xdr:colOff>
      <xdr:row>7</xdr:row>
      <xdr:rowOff>152400</xdr:rowOff>
    </xdr:to>
    <xdr:sp macro="[0]!clearcells2">
      <xdr:nvSpPr>
        <xdr:cNvPr id="1" name="AutoShape 1"/>
        <xdr:cNvSpPr>
          <a:spLocks/>
        </xdr:cNvSpPr>
      </xdr:nvSpPr>
      <xdr:spPr>
        <a:xfrm>
          <a:off x="4591050" y="1009650"/>
          <a:ext cx="1000125" cy="2952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4"/>
  <sheetViews>
    <sheetView tabSelected="1" zoomScalePageLayoutView="0" workbookViewId="0" topLeftCell="A48">
      <selection activeCell="H73" sqref="H73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8" width="15.57421875" style="0" customWidth="1"/>
    <col min="9" max="9" width="12.57421875" style="0" customWidth="1"/>
  </cols>
  <sheetData>
    <row r="1" spans="1:9" ht="13.5" thickBot="1">
      <c r="A1" s="1" t="s">
        <v>8</v>
      </c>
      <c r="B1" s="2"/>
      <c r="C1" s="71"/>
      <c r="D1" s="71"/>
      <c r="E1" s="71"/>
      <c r="F1" s="71"/>
      <c r="G1" s="3"/>
      <c r="H1" s="3"/>
      <c r="I1" s="3"/>
    </row>
    <row r="2" spans="1:9" ht="13.5" thickBot="1">
      <c r="A2" s="1" t="s">
        <v>32</v>
      </c>
      <c r="B2" s="2"/>
      <c r="C2" s="72"/>
      <c r="D2" s="72"/>
      <c r="E2" s="72"/>
      <c r="F2" s="72"/>
      <c r="G2" s="3"/>
      <c r="H2" s="3"/>
      <c r="I2" s="3"/>
    </row>
    <row r="3" spans="1:9" ht="12.75">
      <c r="A3" s="1"/>
      <c r="B3" s="2"/>
      <c r="C3" s="2"/>
      <c r="D3" s="2"/>
      <c r="E3" s="2"/>
      <c r="F3" s="4"/>
      <c r="G3" s="3"/>
      <c r="H3" s="3"/>
      <c r="I3" s="3"/>
    </row>
    <row r="4" spans="1:9" ht="12.75">
      <c r="A4" s="1" t="s">
        <v>18</v>
      </c>
      <c r="B4" s="2"/>
      <c r="C4" s="2"/>
      <c r="D4" s="2"/>
      <c r="E4" s="2"/>
      <c r="G4" s="3"/>
      <c r="H4" s="3"/>
      <c r="I4" s="3"/>
    </row>
    <row r="5" spans="1:9" ht="12.75">
      <c r="A5" s="42"/>
      <c r="B5" s="60"/>
      <c r="C5" s="47" t="s">
        <v>19</v>
      </c>
      <c r="D5" s="47"/>
      <c r="E5" s="48"/>
      <c r="G5" s="3"/>
      <c r="H5" s="3"/>
      <c r="I5" s="3"/>
    </row>
    <row r="6" spans="1:9" ht="12.75" customHeight="1">
      <c r="A6" s="43" t="s">
        <v>20</v>
      </c>
      <c r="B6" s="61"/>
      <c r="C6" s="45" t="s">
        <v>21</v>
      </c>
      <c r="D6" s="45"/>
      <c r="E6" s="46"/>
      <c r="G6" s="3"/>
      <c r="H6" s="3"/>
      <c r="I6" s="3"/>
    </row>
    <row r="7" spans="1:9" ht="12.75" customHeight="1">
      <c r="A7" s="43" t="s">
        <v>20</v>
      </c>
      <c r="B7" s="61"/>
      <c r="C7" s="66" t="s">
        <v>22</v>
      </c>
      <c r="D7" s="66"/>
      <c r="E7" s="67"/>
      <c r="G7" s="3"/>
      <c r="H7" s="3"/>
      <c r="I7" s="3"/>
    </row>
    <row r="8" spans="1:9" ht="12.75" customHeight="1">
      <c r="A8" s="43" t="s">
        <v>20</v>
      </c>
      <c r="B8" s="61"/>
      <c r="C8" s="66" t="s">
        <v>23</v>
      </c>
      <c r="D8" s="66"/>
      <c r="E8" s="67"/>
      <c r="G8" s="3"/>
      <c r="H8" s="3"/>
      <c r="I8" s="3"/>
    </row>
    <row r="9" spans="1:9" ht="12.75" customHeight="1">
      <c r="A9" s="43" t="s">
        <v>20</v>
      </c>
      <c r="B9" s="61"/>
      <c r="C9" s="66" t="s">
        <v>24</v>
      </c>
      <c r="D9" s="66"/>
      <c r="E9" s="67"/>
      <c r="G9" s="3"/>
      <c r="H9" s="3"/>
      <c r="I9" s="3"/>
    </row>
    <row r="10" spans="1:9" ht="12.75" customHeight="1">
      <c r="A10" s="43" t="s">
        <v>20</v>
      </c>
      <c r="B10" s="62"/>
      <c r="C10" s="66" t="s">
        <v>25</v>
      </c>
      <c r="D10" s="66"/>
      <c r="E10" s="67"/>
      <c r="G10" s="3"/>
      <c r="H10" s="3"/>
      <c r="I10" s="3"/>
    </row>
    <row r="11" spans="1:9" ht="12.75" customHeight="1">
      <c r="A11" s="43" t="s">
        <v>26</v>
      </c>
      <c r="B11" s="44">
        <f>SUM(B5:B10)</f>
        <v>0</v>
      </c>
      <c r="C11" s="45"/>
      <c r="D11" s="45"/>
      <c r="E11" s="46"/>
      <c r="G11" s="3"/>
      <c r="H11" s="3"/>
      <c r="I11" s="3"/>
    </row>
    <row r="12" spans="1:9" ht="12.75" customHeight="1">
      <c r="A12" s="43" t="s">
        <v>27</v>
      </c>
      <c r="B12" s="62"/>
      <c r="C12" s="66" t="s">
        <v>31</v>
      </c>
      <c r="D12" s="66"/>
      <c r="E12" s="67"/>
      <c r="G12" s="3"/>
      <c r="H12" s="3"/>
      <c r="I12" s="3"/>
    </row>
    <row r="13" spans="1:9" ht="12.75" customHeight="1">
      <c r="A13" s="43" t="s">
        <v>26</v>
      </c>
      <c r="B13" s="44">
        <f>(B11-B12)</f>
        <v>0</v>
      </c>
      <c r="C13" s="66" t="s">
        <v>28</v>
      </c>
      <c r="D13" s="66"/>
      <c r="E13" s="67"/>
      <c r="G13" s="3"/>
      <c r="H13" s="3"/>
      <c r="I13" s="3"/>
    </row>
    <row r="14" spans="1:9" ht="12.75" customHeight="1">
      <c r="A14" s="43" t="s">
        <v>27</v>
      </c>
      <c r="B14" s="62"/>
      <c r="C14" s="45" t="s">
        <v>30</v>
      </c>
      <c r="D14" s="45"/>
      <c r="E14" s="46"/>
      <c r="G14" s="3"/>
      <c r="H14" s="3"/>
      <c r="I14" s="3"/>
    </row>
    <row r="15" spans="1:9" ht="12.75" customHeight="1">
      <c r="A15" s="49" t="s">
        <v>26</v>
      </c>
      <c r="B15" s="50">
        <f>(B13-B14)</f>
        <v>0</v>
      </c>
      <c r="C15" s="51" t="s">
        <v>29</v>
      </c>
      <c r="D15" s="52"/>
      <c r="E15" s="53"/>
      <c r="G15" s="3"/>
      <c r="H15" s="3"/>
      <c r="I15" s="3"/>
    </row>
    <row r="16" spans="1:9" ht="12.75" customHeight="1">
      <c r="A16" s="1"/>
      <c r="B16" s="2"/>
      <c r="C16" s="2"/>
      <c r="D16" s="2"/>
      <c r="E16" s="2"/>
      <c r="F16" s="4"/>
      <c r="G16" s="3"/>
      <c r="H16" s="3"/>
      <c r="I16" s="3"/>
    </row>
    <row r="17" spans="1:9" ht="12.75">
      <c r="A17" s="5"/>
      <c r="B17" s="6" t="s">
        <v>33</v>
      </c>
      <c r="C17" s="7"/>
      <c r="D17" s="2"/>
      <c r="E17" s="2"/>
      <c r="F17" s="4"/>
      <c r="G17" s="3"/>
      <c r="H17" s="3"/>
      <c r="I17" s="3"/>
    </row>
    <row r="18" spans="1:9" ht="12.75">
      <c r="A18" s="1"/>
      <c r="B18" s="8"/>
      <c r="C18" s="9"/>
      <c r="D18" s="9"/>
      <c r="E18" s="9"/>
      <c r="F18" s="3"/>
      <c r="G18" s="3"/>
      <c r="H18" s="3"/>
      <c r="I18" s="3"/>
    </row>
    <row r="19" spans="1:9" ht="33.75">
      <c r="A19" s="10" t="s">
        <v>0</v>
      </c>
      <c r="B19" s="11" t="s">
        <v>1</v>
      </c>
      <c r="C19" s="11" t="s">
        <v>7</v>
      </c>
      <c r="D19" s="11" t="s">
        <v>14</v>
      </c>
      <c r="E19" s="11" t="s">
        <v>15</v>
      </c>
      <c r="F19" s="12" t="s">
        <v>4</v>
      </c>
      <c r="G19" s="12" t="s">
        <v>5</v>
      </c>
      <c r="H19" s="12" t="s">
        <v>6</v>
      </c>
      <c r="I19" s="13" t="s">
        <v>2</v>
      </c>
    </row>
    <row r="20" spans="1:9" ht="12.75">
      <c r="A20" s="14">
        <v>1979</v>
      </c>
      <c r="B20" s="54"/>
      <c r="C20" s="15">
        <f>PRODUCT(B20*25%)</f>
        <v>0</v>
      </c>
      <c r="D20" s="16" t="b">
        <f>IF(C20&gt;7500,7500)</f>
        <v>0</v>
      </c>
      <c r="E20" s="16">
        <f>IF(C20&lt;7500,PRODUCT(B20*25%))</f>
        <v>0</v>
      </c>
      <c r="F20" s="56"/>
      <c r="G20" s="17"/>
      <c r="H20" s="18"/>
      <c r="I20" s="19">
        <f>SUM(E20+D20)-F20</f>
        <v>0</v>
      </c>
    </row>
    <row r="21" spans="1:9" ht="12.75">
      <c r="A21" s="14">
        <v>1980</v>
      </c>
      <c r="B21" s="54"/>
      <c r="C21" s="15">
        <f aca="true" t="shared" si="0" ref="C21:C42">PRODUCT(B21*25%)</f>
        <v>0</v>
      </c>
      <c r="D21" s="16" t="b">
        <f>IF(C21&gt;7500,7500)</f>
        <v>0</v>
      </c>
      <c r="E21" s="16">
        <f aca="true" t="shared" si="1" ref="E21:E38">IF(C21&lt;7500,PRODUCT(B21*25%))</f>
        <v>0</v>
      </c>
      <c r="F21" s="56"/>
      <c r="G21" s="20"/>
      <c r="H21" s="21"/>
      <c r="I21" s="19">
        <f>SUM(E21+D21)-F21</f>
        <v>0</v>
      </c>
    </row>
    <row r="22" spans="1:9" ht="12.75">
      <c r="A22" s="14">
        <v>1981</v>
      </c>
      <c r="B22" s="55"/>
      <c r="C22" s="15">
        <f t="shared" si="0"/>
        <v>0</v>
      </c>
      <c r="D22" s="16" t="b">
        <f aca="true" t="shared" si="2" ref="D22:D38">IF(C22&gt;7500,7500)</f>
        <v>0</v>
      </c>
      <c r="E22" s="16">
        <f t="shared" si="1"/>
        <v>0</v>
      </c>
      <c r="F22" s="56"/>
      <c r="G22" s="20"/>
      <c r="H22" s="21"/>
      <c r="I22" s="19">
        <f aca="true" t="shared" si="3" ref="I22:I29">SUM(E22+D22)-F22</f>
        <v>0</v>
      </c>
    </row>
    <row r="23" spans="1:9" ht="12.75">
      <c r="A23" s="14">
        <v>1982</v>
      </c>
      <c r="B23" s="54"/>
      <c r="C23" s="15">
        <f t="shared" si="0"/>
        <v>0</v>
      </c>
      <c r="D23" s="16" t="b">
        <f t="shared" si="2"/>
        <v>0</v>
      </c>
      <c r="E23" s="16">
        <f t="shared" si="1"/>
        <v>0</v>
      </c>
      <c r="F23" s="56"/>
      <c r="G23" s="20"/>
      <c r="H23" s="21"/>
      <c r="I23" s="19">
        <f t="shared" si="3"/>
        <v>0</v>
      </c>
    </row>
    <row r="24" spans="1:9" ht="12.75">
      <c r="A24" s="14">
        <v>1983</v>
      </c>
      <c r="B24" s="54"/>
      <c r="C24" s="15">
        <f t="shared" si="0"/>
        <v>0</v>
      </c>
      <c r="D24" s="16" t="b">
        <f t="shared" si="2"/>
        <v>0</v>
      </c>
      <c r="E24" s="16">
        <f t="shared" si="1"/>
        <v>0</v>
      </c>
      <c r="F24" s="56"/>
      <c r="G24" s="20"/>
      <c r="H24" s="21"/>
      <c r="I24" s="19">
        <f t="shared" si="3"/>
        <v>0</v>
      </c>
    </row>
    <row r="25" spans="1:9" ht="12.75">
      <c r="A25" s="14">
        <v>1984</v>
      </c>
      <c r="B25" s="55"/>
      <c r="C25" s="15">
        <f t="shared" si="0"/>
        <v>0</v>
      </c>
      <c r="D25" s="16" t="b">
        <f t="shared" si="2"/>
        <v>0</v>
      </c>
      <c r="E25" s="16">
        <f t="shared" si="1"/>
        <v>0</v>
      </c>
      <c r="F25" s="56"/>
      <c r="G25" s="20"/>
      <c r="H25" s="21"/>
      <c r="I25" s="19">
        <f t="shared" si="3"/>
        <v>0</v>
      </c>
    </row>
    <row r="26" spans="1:9" ht="12.75">
      <c r="A26" s="14">
        <v>1985</v>
      </c>
      <c r="B26" s="55"/>
      <c r="C26" s="15">
        <f t="shared" si="0"/>
        <v>0</v>
      </c>
      <c r="D26" s="16" t="b">
        <f t="shared" si="2"/>
        <v>0</v>
      </c>
      <c r="E26" s="16">
        <f t="shared" si="1"/>
        <v>0</v>
      </c>
      <c r="F26" s="56"/>
      <c r="G26" s="20"/>
      <c r="H26" s="21"/>
      <c r="I26" s="19">
        <f t="shared" si="3"/>
        <v>0</v>
      </c>
    </row>
    <row r="27" spans="1:9" ht="12.75">
      <c r="A27" s="14" t="s">
        <v>9</v>
      </c>
      <c r="B27" s="55"/>
      <c r="C27" s="15">
        <f t="shared" si="0"/>
        <v>0</v>
      </c>
      <c r="D27" s="16" t="b">
        <f t="shared" si="2"/>
        <v>0</v>
      </c>
      <c r="E27" s="16">
        <f t="shared" si="1"/>
        <v>0</v>
      </c>
      <c r="F27" s="56"/>
      <c r="G27" s="20"/>
      <c r="H27" s="21"/>
      <c r="I27" s="19">
        <f t="shared" si="3"/>
        <v>0</v>
      </c>
    </row>
    <row r="28" spans="1:9" ht="12.75">
      <c r="A28" s="14">
        <v>1987</v>
      </c>
      <c r="B28" s="55"/>
      <c r="C28" s="15">
        <f t="shared" si="0"/>
        <v>0</v>
      </c>
      <c r="D28" s="16" t="b">
        <f t="shared" si="2"/>
        <v>0</v>
      </c>
      <c r="E28" s="16">
        <f t="shared" si="1"/>
        <v>0</v>
      </c>
      <c r="F28" s="56"/>
      <c r="G28" s="20"/>
      <c r="H28" s="21"/>
      <c r="I28" s="19">
        <f t="shared" si="3"/>
        <v>0</v>
      </c>
    </row>
    <row r="29" spans="1:9" ht="12.75">
      <c r="A29" s="14" t="s">
        <v>10</v>
      </c>
      <c r="B29" s="55"/>
      <c r="C29" s="15">
        <f t="shared" si="0"/>
        <v>0</v>
      </c>
      <c r="D29" s="16" t="b">
        <f t="shared" si="2"/>
        <v>0</v>
      </c>
      <c r="E29" s="16">
        <f t="shared" si="1"/>
        <v>0</v>
      </c>
      <c r="F29" s="56"/>
      <c r="G29" s="20"/>
      <c r="H29" s="21"/>
      <c r="I29" s="19">
        <f t="shared" si="3"/>
        <v>0</v>
      </c>
    </row>
    <row r="30" spans="1:9" ht="12.75">
      <c r="A30" s="14" t="s">
        <v>11</v>
      </c>
      <c r="B30" s="55"/>
      <c r="C30" s="15">
        <f t="shared" si="0"/>
        <v>0</v>
      </c>
      <c r="D30" s="16" t="b">
        <f t="shared" si="2"/>
        <v>0</v>
      </c>
      <c r="E30" s="16">
        <f t="shared" si="1"/>
        <v>0</v>
      </c>
      <c r="F30" s="56"/>
      <c r="G30" s="22"/>
      <c r="H30" s="23"/>
      <c r="I30" s="19">
        <f>SUM(E30+D30)-F30</f>
        <v>0</v>
      </c>
    </row>
    <row r="31" spans="1:9" ht="12.75">
      <c r="A31" s="14">
        <v>1990</v>
      </c>
      <c r="B31" s="55"/>
      <c r="C31" s="15">
        <f t="shared" si="0"/>
        <v>0</v>
      </c>
      <c r="D31" s="16" t="b">
        <f t="shared" si="2"/>
        <v>0</v>
      </c>
      <c r="E31" s="16">
        <f t="shared" si="1"/>
        <v>0</v>
      </c>
      <c r="F31" s="56"/>
      <c r="G31" s="56"/>
      <c r="H31" s="56"/>
      <c r="I31" s="19">
        <f aca="true" t="shared" si="4" ref="I31:I42">SUM(E31+D31)-F31-G31-H31</f>
        <v>0</v>
      </c>
    </row>
    <row r="32" spans="1:9" ht="12.75">
      <c r="A32" s="14">
        <v>1991</v>
      </c>
      <c r="B32" s="55"/>
      <c r="C32" s="15">
        <f t="shared" si="0"/>
        <v>0</v>
      </c>
      <c r="D32" s="16" t="b">
        <f t="shared" si="2"/>
        <v>0</v>
      </c>
      <c r="E32" s="16">
        <f t="shared" si="1"/>
        <v>0</v>
      </c>
      <c r="F32" s="56"/>
      <c r="G32" s="56"/>
      <c r="H32" s="56"/>
      <c r="I32" s="19">
        <f t="shared" si="4"/>
        <v>0</v>
      </c>
    </row>
    <row r="33" spans="1:9" ht="12.75">
      <c r="A33" s="14">
        <v>1992</v>
      </c>
      <c r="B33" s="55"/>
      <c r="C33" s="15">
        <f t="shared" si="0"/>
        <v>0</v>
      </c>
      <c r="D33" s="16" t="b">
        <f t="shared" si="2"/>
        <v>0</v>
      </c>
      <c r="E33" s="16">
        <f t="shared" si="1"/>
        <v>0</v>
      </c>
      <c r="F33" s="56"/>
      <c r="G33" s="56"/>
      <c r="H33" s="56"/>
      <c r="I33" s="19">
        <f t="shared" si="4"/>
        <v>0</v>
      </c>
    </row>
    <row r="34" spans="1:9" ht="12.75">
      <c r="A34" s="14">
        <v>1993</v>
      </c>
      <c r="B34" s="55"/>
      <c r="C34" s="15">
        <f t="shared" si="0"/>
        <v>0</v>
      </c>
      <c r="D34" s="16" t="b">
        <f t="shared" si="2"/>
        <v>0</v>
      </c>
      <c r="E34" s="16">
        <f t="shared" si="1"/>
        <v>0</v>
      </c>
      <c r="F34" s="56"/>
      <c r="G34" s="56"/>
      <c r="H34" s="56"/>
      <c r="I34" s="19">
        <f t="shared" si="4"/>
        <v>0</v>
      </c>
    </row>
    <row r="35" spans="1:9" ht="12.75">
      <c r="A35" s="14">
        <v>1994</v>
      </c>
      <c r="B35" s="55"/>
      <c r="C35" s="15">
        <f t="shared" si="0"/>
        <v>0</v>
      </c>
      <c r="D35" s="16" t="b">
        <f t="shared" si="2"/>
        <v>0</v>
      </c>
      <c r="E35" s="16">
        <f t="shared" si="1"/>
        <v>0</v>
      </c>
      <c r="F35" s="56"/>
      <c r="G35" s="56"/>
      <c r="H35" s="56"/>
      <c r="I35" s="19">
        <f t="shared" si="4"/>
        <v>0</v>
      </c>
    </row>
    <row r="36" spans="1:9" ht="12.75">
      <c r="A36" s="14">
        <v>1995</v>
      </c>
      <c r="B36" s="55"/>
      <c r="C36" s="15">
        <f t="shared" si="0"/>
        <v>0</v>
      </c>
      <c r="D36" s="16" t="b">
        <f t="shared" si="2"/>
        <v>0</v>
      </c>
      <c r="E36" s="16">
        <f t="shared" si="1"/>
        <v>0</v>
      </c>
      <c r="F36" s="56"/>
      <c r="G36" s="56"/>
      <c r="H36" s="56"/>
      <c r="I36" s="19">
        <f t="shared" si="4"/>
        <v>0</v>
      </c>
    </row>
    <row r="37" spans="1:9" ht="12.75">
      <c r="A37" s="14">
        <v>1996</v>
      </c>
      <c r="B37" s="55"/>
      <c r="C37" s="15">
        <f t="shared" si="0"/>
        <v>0</v>
      </c>
      <c r="D37" s="16" t="b">
        <f t="shared" si="2"/>
        <v>0</v>
      </c>
      <c r="E37" s="16">
        <f t="shared" si="1"/>
        <v>0</v>
      </c>
      <c r="F37" s="56"/>
      <c r="G37" s="56"/>
      <c r="H37" s="56"/>
      <c r="I37" s="19">
        <f t="shared" si="4"/>
        <v>0</v>
      </c>
    </row>
    <row r="38" spans="1:9" ht="12.75">
      <c r="A38" s="14">
        <v>1997</v>
      </c>
      <c r="B38" s="55"/>
      <c r="C38" s="15">
        <f t="shared" si="0"/>
        <v>0</v>
      </c>
      <c r="D38" s="16" t="b">
        <f t="shared" si="2"/>
        <v>0</v>
      </c>
      <c r="E38" s="16">
        <f t="shared" si="1"/>
        <v>0</v>
      </c>
      <c r="F38" s="56"/>
      <c r="G38" s="56"/>
      <c r="H38" s="56"/>
      <c r="I38" s="19">
        <f t="shared" si="4"/>
        <v>0</v>
      </c>
    </row>
    <row r="39" spans="1:9" ht="12.75">
      <c r="A39" s="14">
        <v>1998</v>
      </c>
      <c r="B39" s="55"/>
      <c r="C39" s="15">
        <f t="shared" si="0"/>
        <v>0</v>
      </c>
      <c r="D39" s="16" t="b">
        <f>IF(C39&gt;8000,8000)</f>
        <v>0</v>
      </c>
      <c r="E39" s="16">
        <f>IF(C39&lt;8000,PRODUCT(B39*25%))</f>
        <v>0</v>
      </c>
      <c r="F39" s="56"/>
      <c r="G39" s="56"/>
      <c r="H39" s="56"/>
      <c r="I39" s="19">
        <f t="shared" si="4"/>
        <v>0</v>
      </c>
    </row>
    <row r="40" spans="1:9" ht="12.75">
      <c r="A40" s="14">
        <v>1999</v>
      </c>
      <c r="B40" s="55"/>
      <c r="C40" s="15">
        <f t="shared" si="0"/>
        <v>0</v>
      </c>
      <c r="D40" s="16" t="b">
        <f>IF(C40&gt;8000,8000)</f>
        <v>0</v>
      </c>
      <c r="E40" s="16">
        <f>IF(C40&lt;8000,PRODUCT(B40*25%))</f>
        <v>0</v>
      </c>
      <c r="F40" s="56"/>
      <c r="G40" s="56"/>
      <c r="H40" s="56"/>
      <c r="I40" s="19">
        <f t="shared" si="4"/>
        <v>0</v>
      </c>
    </row>
    <row r="41" spans="1:9" ht="12.75">
      <c r="A41" s="14">
        <v>2000</v>
      </c>
      <c r="B41" s="55"/>
      <c r="C41" s="15">
        <f t="shared" si="0"/>
        <v>0</v>
      </c>
      <c r="D41" s="16" t="b">
        <f>IF(C41&gt;8000,8000)</f>
        <v>0</v>
      </c>
      <c r="E41" s="16">
        <f>IF(C41&lt;8000,PRODUCT(B41*25%))</f>
        <v>0</v>
      </c>
      <c r="F41" s="56"/>
      <c r="G41" s="56"/>
      <c r="H41" s="56"/>
      <c r="I41" s="19">
        <f t="shared" si="4"/>
        <v>0</v>
      </c>
    </row>
    <row r="42" spans="1:9" ht="12.75">
      <c r="A42" s="14">
        <v>2001</v>
      </c>
      <c r="B42" s="55"/>
      <c r="C42" s="15">
        <f t="shared" si="0"/>
        <v>0</v>
      </c>
      <c r="D42" s="16" t="b">
        <f>IF(C42&gt;8500,8500)</f>
        <v>0</v>
      </c>
      <c r="E42" s="16">
        <f>IF(C42&lt;8500,PRODUCT(B42*25%))</f>
        <v>0</v>
      </c>
      <c r="F42" s="57"/>
      <c r="G42" s="59"/>
      <c r="H42" s="59"/>
      <c r="I42" s="19">
        <f t="shared" si="4"/>
        <v>0</v>
      </c>
    </row>
    <row r="43" spans="1:9" ht="12.75">
      <c r="A43" s="14">
        <v>2002</v>
      </c>
      <c r="B43" s="55"/>
      <c r="C43" s="15">
        <f aca="true" t="shared" si="5" ref="C43:C52">PRODUCT(B43*99%)</f>
        <v>0</v>
      </c>
      <c r="D43" s="16" t="b">
        <f>IF(C43&gt;11000,11000)</f>
        <v>0</v>
      </c>
      <c r="E43" s="16">
        <f>IF(C43&lt;11000,PRODUCT(B43*99%))</f>
        <v>0</v>
      </c>
      <c r="F43" s="58"/>
      <c r="G43" s="24"/>
      <c r="H43" s="25"/>
      <c r="I43" s="19">
        <f aca="true" t="shared" si="6" ref="I43:I52">SUM(E43+D43)-F43</f>
        <v>0</v>
      </c>
    </row>
    <row r="44" spans="1:9" ht="12.75">
      <c r="A44" s="14">
        <v>2003</v>
      </c>
      <c r="B44" s="55"/>
      <c r="C44" s="15">
        <f t="shared" si="5"/>
        <v>0</v>
      </c>
      <c r="D44" s="16" t="b">
        <f>IF(C44&gt;12000,12000)</f>
        <v>0</v>
      </c>
      <c r="E44" s="16">
        <f>IF(C44&lt;12000,PRODUCT(B44*99%))</f>
        <v>0</v>
      </c>
      <c r="F44" s="58"/>
      <c r="G44" s="26"/>
      <c r="H44" s="27"/>
      <c r="I44" s="19">
        <f t="shared" si="6"/>
        <v>0</v>
      </c>
    </row>
    <row r="45" spans="1:9" ht="12.75">
      <c r="A45" s="14">
        <v>2004</v>
      </c>
      <c r="B45" s="55"/>
      <c r="C45" s="15">
        <f t="shared" si="5"/>
        <v>0</v>
      </c>
      <c r="D45" s="16" t="b">
        <f>IF(C45&gt;13000,13000)</f>
        <v>0</v>
      </c>
      <c r="E45" s="16">
        <f>IF(C45&lt;13000,PRODUCT(B45*99%))</f>
        <v>0</v>
      </c>
      <c r="F45" s="58"/>
      <c r="G45" s="26"/>
      <c r="H45" s="27"/>
      <c r="I45" s="19">
        <f t="shared" si="6"/>
        <v>0</v>
      </c>
    </row>
    <row r="46" spans="1:9" ht="12.75">
      <c r="A46" s="14">
        <v>2005</v>
      </c>
      <c r="B46" s="55"/>
      <c r="C46" s="15">
        <f t="shared" si="5"/>
        <v>0</v>
      </c>
      <c r="D46" s="16" t="b">
        <f>IF(C46&gt;14000,14000)</f>
        <v>0</v>
      </c>
      <c r="E46" s="16">
        <f>IF(C46&lt;14000,PRODUCT(B46*99%))</f>
        <v>0</v>
      </c>
      <c r="F46" s="58"/>
      <c r="G46" s="26"/>
      <c r="H46" s="27"/>
      <c r="I46" s="19">
        <f t="shared" si="6"/>
        <v>0</v>
      </c>
    </row>
    <row r="47" spans="1:9" ht="12.75">
      <c r="A47" s="14">
        <v>2006</v>
      </c>
      <c r="B47" s="55"/>
      <c r="C47" s="15">
        <f t="shared" si="5"/>
        <v>0</v>
      </c>
      <c r="D47" s="16" t="b">
        <f>IF(C47&gt;15000,15000)</f>
        <v>0</v>
      </c>
      <c r="E47" s="16">
        <f>IF(C47&lt;15000,PRODUCT(B47*99%))</f>
        <v>0</v>
      </c>
      <c r="F47" s="58"/>
      <c r="G47" s="26"/>
      <c r="H47" s="27"/>
      <c r="I47" s="19">
        <f t="shared" si="6"/>
        <v>0</v>
      </c>
    </row>
    <row r="48" spans="1:9" ht="12.75">
      <c r="A48" s="14">
        <v>2007</v>
      </c>
      <c r="B48" s="55"/>
      <c r="C48" s="15">
        <f t="shared" si="5"/>
        <v>0</v>
      </c>
      <c r="D48" s="16" t="b">
        <f>IF(C48&gt;15500,15500)</f>
        <v>0</v>
      </c>
      <c r="E48" s="16">
        <f>IF(C48&lt;15500,PRODUCT(B48*99%))</f>
        <v>0</v>
      </c>
      <c r="F48" s="58"/>
      <c r="G48" s="26"/>
      <c r="H48" s="27"/>
      <c r="I48" s="19">
        <f t="shared" si="6"/>
        <v>0</v>
      </c>
    </row>
    <row r="49" spans="1:9" ht="12.75">
      <c r="A49" s="14">
        <v>2008</v>
      </c>
      <c r="B49" s="55"/>
      <c r="C49" s="15">
        <f t="shared" si="5"/>
        <v>0</v>
      </c>
      <c r="D49" s="16" t="b">
        <f>IF(C49&gt;15500,15500)</f>
        <v>0</v>
      </c>
      <c r="E49" s="16">
        <f>IF(C49&lt;15500,PRODUCT(B49*99%))</f>
        <v>0</v>
      </c>
      <c r="F49" s="58"/>
      <c r="G49" s="26"/>
      <c r="H49" s="27"/>
      <c r="I49" s="19">
        <f t="shared" si="6"/>
        <v>0</v>
      </c>
    </row>
    <row r="50" spans="1:9" ht="12.75">
      <c r="A50" s="14">
        <v>2009</v>
      </c>
      <c r="B50" s="55"/>
      <c r="C50" s="15">
        <f t="shared" si="5"/>
        <v>0</v>
      </c>
      <c r="D50" s="16" t="b">
        <f>IF(C50&gt;16500,16500)</f>
        <v>0</v>
      </c>
      <c r="E50" s="16">
        <f>IF(C50&lt;16500,PRODUCT(B50*99%))</f>
        <v>0</v>
      </c>
      <c r="F50" s="58"/>
      <c r="G50" s="26"/>
      <c r="H50" s="27"/>
      <c r="I50" s="19">
        <f t="shared" si="6"/>
        <v>0</v>
      </c>
    </row>
    <row r="51" spans="1:9" ht="12.75">
      <c r="A51" s="14">
        <v>2010</v>
      </c>
      <c r="B51" s="55"/>
      <c r="C51" s="15">
        <f t="shared" si="5"/>
        <v>0</v>
      </c>
      <c r="D51" s="16" t="b">
        <f>IF(C51&gt;16500,16500)</f>
        <v>0</v>
      </c>
      <c r="E51" s="16">
        <f>IF(C51&lt;16500,PRODUCT(B51*99%))</f>
        <v>0</v>
      </c>
      <c r="F51" s="58"/>
      <c r="G51" s="26"/>
      <c r="H51" s="27"/>
      <c r="I51" s="19">
        <f t="shared" si="6"/>
        <v>0</v>
      </c>
    </row>
    <row r="52" spans="1:9" ht="12.75">
      <c r="A52" s="14">
        <v>2011</v>
      </c>
      <c r="B52" s="55"/>
      <c r="C52" s="15">
        <f t="shared" si="5"/>
        <v>0</v>
      </c>
      <c r="D52" s="16" t="b">
        <f>IF(C52&gt;16500,16500)</f>
        <v>0</v>
      </c>
      <c r="E52" s="16">
        <f>IF(C52&lt;16500,PRODUCT(B52*99%))</f>
        <v>0</v>
      </c>
      <c r="F52" s="58"/>
      <c r="G52" s="26"/>
      <c r="H52" s="27"/>
      <c r="I52" s="19">
        <f t="shared" si="6"/>
        <v>0</v>
      </c>
    </row>
    <row r="53" spans="1:9" ht="12.75">
      <c r="A53" s="14">
        <v>2012</v>
      </c>
      <c r="B53" s="55"/>
      <c r="C53" s="15">
        <f aca="true" t="shared" si="7" ref="C53:C59">PRODUCT(B53*99%)</f>
        <v>0</v>
      </c>
      <c r="D53" s="16" t="b">
        <f>IF(C53&gt;17000,17000)</f>
        <v>0</v>
      </c>
      <c r="E53" s="16">
        <f>IF(C53&lt;17000,PRODUCT(B53*99%))</f>
        <v>0</v>
      </c>
      <c r="F53" s="58"/>
      <c r="G53" s="26"/>
      <c r="H53" s="27"/>
      <c r="I53" s="19">
        <f aca="true" t="shared" si="8" ref="I53:I61">SUM(E53+D53)-F53</f>
        <v>0</v>
      </c>
    </row>
    <row r="54" spans="1:9" ht="12.75">
      <c r="A54" s="14">
        <v>2013</v>
      </c>
      <c r="B54" s="55"/>
      <c r="C54" s="15">
        <f t="shared" si="7"/>
        <v>0</v>
      </c>
      <c r="D54" s="16" t="b">
        <f>IF(C54&gt;17500,17500)</f>
        <v>0</v>
      </c>
      <c r="E54" s="16">
        <f>IF(C54&lt;17500,PRODUCT(B54*99%))</f>
        <v>0</v>
      </c>
      <c r="F54" s="58"/>
      <c r="G54" s="26"/>
      <c r="H54" s="27"/>
      <c r="I54" s="19">
        <f t="shared" si="8"/>
        <v>0</v>
      </c>
    </row>
    <row r="55" spans="1:9" ht="12.75">
      <c r="A55" s="14">
        <v>2014</v>
      </c>
      <c r="B55" s="55"/>
      <c r="C55" s="15">
        <f t="shared" si="7"/>
        <v>0</v>
      </c>
      <c r="D55" s="16" t="b">
        <f>IF(C55&gt;17500,17500)</f>
        <v>0</v>
      </c>
      <c r="E55" s="16">
        <f>IF(C55&lt;17500,PRODUCT(B55*99%))</f>
        <v>0</v>
      </c>
      <c r="F55" s="58"/>
      <c r="G55" s="26"/>
      <c r="H55" s="27"/>
      <c r="I55" s="19">
        <f t="shared" si="8"/>
        <v>0</v>
      </c>
    </row>
    <row r="56" spans="1:9" ht="12.75">
      <c r="A56" s="14">
        <v>2015</v>
      </c>
      <c r="B56" s="55"/>
      <c r="C56" s="15">
        <f t="shared" si="7"/>
        <v>0</v>
      </c>
      <c r="D56" s="16" t="b">
        <f>IF(C56&gt;18000,18000)</f>
        <v>0</v>
      </c>
      <c r="E56" s="16">
        <f>IF(C56&lt;18000,PRODUCT(B56*99%))</f>
        <v>0</v>
      </c>
      <c r="F56" s="58"/>
      <c r="G56" s="26"/>
      <c r="H56" s="27"/>
      <c r="I56" s="19">
        <f t="shared" si="8"/>
        <v>0</v>
      </c>
    </row>
    <row r="57" spans="1:9" ht="12.75">
      <c r="A57" s="14">
        <v>2016</v>
      </c>
      <c r="B57" s="55"/>
      <c r="C57" s="15">
        <f t="shared" si="7"/>
        <v>0</v>
      </c>
      <c r="D57" s="16" t="b">
        <f>IF(C57&gt;18000,18000)</f>
        <v>0</v>
      </c>
      <c r="E57" s="16">
        <f>IF(C57&lt;18000,PRODUCT(B57*99%))</f>
        <v>0</v>
      </c>
      <c r="F57" s="58"/>
      <c r="G57" s="26"/>
      <c r="H57" s="27"/>
      <c r="I57" s="19">
        <f t="shared" si="8"/>
        <v>0</v>
      </c>
    </row>
    <row r="58" spans="1:9" ht="12.75">
      <c r="A58" s="14">
        <v>2017</v>
      </c>
      <c r="B58" s="55"/>
      <c r="C58" s="15">
        <f t="shared" si="7"/>
        <v>0</v>
      </c>
      <c r="D58" s="16" t="b">
        <f>IF(C58&gt;18000,18000)</f>
        <v>0</v>
      </c>
      <c r="E58" s="16">
        <f>IF(C58&lt;18000,PRODUCT(B58*99%))</f>
        <v>0</v>
      </c>
      <c r="F58" s="58"/>
      <c r="G58" s="26"/>
      <c r="H58" s="27"/>
      <c r="I58" s="19">
        <f t="shared" si="8"/>
        <v>0</v>
      </c>
    </row>
    <row r="59" spans="1:9" ht="12.75">
      <c r="A59" s="14">
        <v>2018</v>
      </c>
      <c r="B59" s="55"/>
      <c r="C59" s="15">
        <f t="shared" si="7"/>
        <v>0</v>
      </c>
      <c r="D59" s="16" t="b">
        <f>IF(C59&gt;18500,18500)</f>
        <v>0</v>
      </c>
      <c r="E59" s="16">
        <f>IF(C59&lt;18500,PRODUCT(B59*99%))</f>
        <v>0</v>
      </c>
      <c r="F59" s="58"/>
      <c r="G59" s="26"/>
      <c r="H59" s="27"/>
      <c r="I59" s="19">
        <f t="shared" si="8"/>
        <v>0</v>
      </c>
    </row>
    <row r="60" spans="1:9" ht="12.75">
      <c r="A60" s="14">
        <v>2019</v>
      </c>
      <c r="B60" s="55"/>
      <c r="C60" s="15">
        <f aca="true" t="shared" si="9" ref="C60:C65">PRODUCT(B60*99%)</f>
        <v>0</v>
      </c>
      <c r="D60" s="16" t="b">
        <f>IF(C60&gt;19000,19000)</f>
        <v>0</v>
      </c>
      <c r="E60" s="16">
        <f>IF(C60&lt;19000,PRODUCT(B60*99%))</f>
        <v>0</v>
      </c>
      <c r="F60" s="58"/>
      <c r="G60" s="26"/>
      <c r="H60" s="27"/>
      <c r="I60" s="19">
        <f t="shared" si="8"/>
        <v>0</v>
      </c>
    </row>
    <row r="61" spans="1:9" ht="12.75">
      <c r="A61" s="14">
        <v>2020</v>
      </c>
      <c r="B61" s="55"/>
      <c r="C61" s="15">
        <f t="shared" si="9"/>
        <v>0</v>
      </c>
      <c r="D61" s="16" t="b">
        <f>IF(C61&gt;19500,19500)</f>
        <v>0</v>
      </c>
      <c r="E61" s="16">
        <f>IF(C61&lt;19500,PRODUCT(B61*99%))</f>
        <v>0</v>
      </c>
      <c r="F61" s="58"/>
      <c r="G61" s="26"/>
      <c r="H61" s="27"/>
      <c r="I61" s="19">
        <f t="shared" si="8"/>
        <v>0</v>
      </c>
    </row>
    <row r="62" spans="1:9" ht="12.75">
      <c r="A62" s="14">
        <v>2021</v>
      </c>
      <c r="B62" s="55"/>
      <c r="C62" s="15">
        <f t="shared" si="9"/>
        <v>0</v>
      </c>
      <c r="D62" s="16" t="b">
        <f>IF(C62&gt;19500,19500)</f>
        <v>0</v>
      </c>
      <c r="E62" s="16">
        <f>IF(C62&lt;19500,PRODUCT(B62*99%))</f>
        <v>0</v>
      </c>
      <c r="F62" s="58"/>
      <c r="G62" s="26"/>
      <c r="H62" s="27"/>
      <c r="I62" s="19">
        <f>SUM(E62+D62)-F62</f>
        <v>0</v>
      </c>
    </row>
    <row r="63" spans="1:9" ht="12.75">
      <c r="A63" s="14">
        <v>2022</v>
      </c>
      <c r="B63" s="55"/>
      <c r="C63" s="15">
        <f t="shared" si="9"/>
        <v>0</v>
      </c>
      <c r="D63" s="16" t="b">
        <f>IF(C63&gt;20500,20500)</f>
        <v>0</v>
      </c>
      <c r="E63" s="16">
        <f>IF(C63&lt;20500,PRODUCT(B63*99%))</f>
        <v>0</v>
      </c>
      <c r="F63" s="58"/>
      <c r="G63" s="26"/>
      <c r="H63" s="27"/>
      <c r="I63" s="19">
        <f>SUM(E63+D63)-F63</f>
        <v>0</v>
      </c>
    </row>
    <row r="64" spans="1:9" ht="12.75">
      <c r="A64" s="14">
        <v>2023</v>
      </c>
      <c r="B64" s="55"/>
      <c r="C64" s="15">
        <f t="shared" si="9"/>
        <v>0</v>
      </c>
      <c r="D64" s="16" t="b">
        <f>IF(C64&gt;22500,22500)</f>
        <v>0</v>
      </c>
      <c r="E64" s="16">
        <f>IF(C64&lt;22500,PRODUCT(B64*99%))</f>
        <v>0</v>
      </c>
      <c r="F64" s="58"/>
      <c r="G64" s="26"/>
      <c r="H64" s="27"/>
      <c r="I64" s="19">
        <f>SUM(E64+D64)-F64</f>
        <v>0</v>
      </c>
    </row>
    <row r="65" spans="1:9" ht="12.75">
      <c r="A65" s="14">
        <v>2024</v>
      </c>
      <c r="B65" s="55"/>
      <c r="C65" s="15">
        <f t="shared" si="9"/>
        <v>0</v>
      </c>
      <c r="D65" s="16" t="b">
        <f>IF(C65&gt;23000,23000)</f>
        <v>0</v>
      </c>
      <c r="E65" s="16">
        <f>IF(C65&lt;23000,PRODUCT(B65*99%))</f>
        <v>0</v>
      </c>
      <c r="F65" s="58"/>
      <c r="G65" s="26"/>
      <c r="H65" s="27"/>
      <c r="I65" s="19">
        <f>SUM(E65+D65)-F65</f>
        <v>0</v>
      </c>
    </row>
    <row r="66" spans="1:9" ht="12.75">
      <c r="A66" s="14" t="s">
        <v>3</v>
      </c>
      <c r="B66" s="28"/>
      <c r="C66" s="15"/>
      <c r="D66" s="15"/>
      <c r="E66" s="15"/>
      <c r="F66" s="58"/>
      <c r="G66" s="26"/>
      <c r="H66" s="27"/>
      <c r="I66" s="19" t="str">
        <f>IF(SUM(I20:I65)&gt;0,SUM(I20:I65),"Not Eligible")</f>
        <v>Not Eligible</v>
      </c>
    </row>
    <row r="67" spans="1:9" ht="12.75">
      <c r="A67" s="1"/>
      <c r="B67" s="8"/>
      <c r="C67" s="9"/>
      <c r="D67" s="9"/>
      <c r="E67" s="9"/>
      <c r="F67" s="68" t="s">
        <v>17</v>
      </c>
      <c r="G67" s="69"/>
      <c r="H67" s="70"/>
      <c r="I67" s="35"/>
    </row>
    <row r="68" spans="1:4" ht="12.75">
      <c r="A68" s="1" t="s">
        <v>12</v>
      </c>
      <c r="B68" s="1"/>
      <c r="C68" s="1"/>
      <c r="D68" s="1"/>
    </row>
    <row r="69" spans="1:9" ht="12.75">
      <c r="A69" s="30" t="s">
        <v>13</v>
      </c>
      <c r="B69" s="31"/>
      <c r="C69" s="9"/>
      <c r="D69" s="29" t="s">
        <v>0</v>
      </c>
      <c r="E69" s="65" t="s">
        <v>16</v>
      </c>
      <c r="F69" s="38"/>
      <c r="G69" s="29" t="s">
        <v>0</v>
      </c>
      <c r="H69" s="65" t="s">
        <v>16</v>
      </c>
      <c r="I69" s="38"/>
    </row>
    <row r="70" spans="1:9" ht="12.75">
      <c r="A70" s="30" t="s">
        <v>55</v>
      </c>
      <c r="B70" s="31"/>
      <c r="C70" s="9"/>
      <c r="D70" s="36">
        <v>2016</v>
      </c>
      <c r="E70" s="41">
        <v>36000</v>
      </c>
      <c r="F70" s="39"/>
      <c r="G70" s="36">
        <v>2021</v>
      </c>
      <c r="H70" s="41">
        <v>39000</v>
      </c>
      <c r="I70" s="39"/>
    </row>
    <row r="71" spans="1:9" ht="12.75">
      <c r="A71" s="30" t="s">
        <v>54</v>
      </c>
      <c r="B71" s="31"/>
      <c r="C71" s="9"/>
      <c r="D71" s="36">
        <v>2017</v>
      </c>
      <c r="E71" s="41">
        <v>36000</v>
      </c>
      <c r="F71" s="40"/>
      <c r="G71" s="36">
        <v>2022</v>
      </c>
      <c r="H71" s="41">
        <v>41000</v>
      </c>
      <c r="I71" s="39"/>
    </row>
    <row r="72" spans="1:9" ht="12.75">
      <c r="A72" s="30"/>
      <c r="B72" s="31"/>
      <c r="C72" s="9"/>
      <c r="D72" s="36">
        <v>2018</v>
      </c>
      <c r="E72" s="41">
        <v>37000</v>
      </c>
      <c r="F72" s="39"/>
      <c r="G72" s="36">
        <v>2023</v>
      </c>
      <c r="H72" s="41">
        <v>45000</v>
      </c>
      <c r="I72" s="39"/>
    </row>
    <row r="73" spans="1:9" ht="12.75">
      <c r="A73" s="32"/>
      <c r="B73" s="33"/>
      <c r="C73" s="34"/>
      <c r="D73" s="36">
        <v>2019</v>
      </c>
      <c r="E73" s="41">
        <v>38000</v>
      </c>
      <c r="F73" s="39"/>
      <c r="G73" s="36">
        <v>2024</v>
      </c>
      <c r="H73" s="41">
        <v>46000</v>
      </c>
      <c r="I73" s="39"/>
    </row>
    <row r="74" spans="1:9" ht="12.75">
      <c r="A74" s="30"/>
      <c r="B74" s="31"/>
      <c r="C74" s="9"/>
      <c r="D74" s="37">
        <v>2020</v>
      </c>
      <c r="E74" s="41">
        <v>39000</v>
      </c>
      <c r="F74" s="39"/>
      <c r="G74" s="36"/>
      <c r="H74" s="41"/>
      <c r="I74" s="39"/>
    </row>
  </sheetData>
  <sheetProtection selectLockedCells="1"/>
  <mergeCells count="9">
    <mergeCell ref="C9:E9"/>
    <mergeCell ref="F67:H67"/>
    <mergeCell ref="C12:E12"/>
    <mergeCell ref="C13:E13"/>
    <mergeCell ref="C10:E10"/>
    <mergeCell ref="C1:F1"/>
    <mergeCell ref="C2:F2"/>
    <mergeCell ref="C8:E8"/>
    <mergeCell ref="C7:E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39"/>
  <sheetViews>
    <sheetView zoomScalePageLayoutView="0" workbookViewId="0" topLeftCell="A1">
      <selection activeCell="B32" sqref="B32"/>
    </sheetView>
  </sheetViews>
  <sheetFormatPr defaultColWidth="9.140625" defaultRowHeight="12.75"/>
  <sheetData>
    <row r="2" ht="18">
      <c r="A2" s="63" t="s">
        <v>39</v>
      </c>
    </row>
    <row r="4" ht="15">
      <c r="A4" s="64" t="s">
        <v>34</v>
      </c>
    </row>
    <row r="5" ht="15">
      <c r="A5" s="64"/>
    </row>
    <row r="6" ht="15">
      <c r="A6" s="64" t="s">
        <v>35</v>
      </c>
    </row>
    <row r="7" ht="15">
      <c r="A7" s="64"/>
    </row>
    <row r="8" ht="15">
      <c r="A8" s="64" t="s">
        <v>40</v>
      </c>
    </row>
    <row r="9" spans="1:2" ht="15">
      <c r="A9" s="64"/>
      <c r="B9" s="64" t="s">
        <v>36</v>
      </c>
    </row>
    <row r="10" ht="15">
      <c r="A10" s="64"/>
    </row>
    <row r="11" ht="15">
      <c r="A11" s="64" t="s">
        <v>37</v>
      </c>
    </row>
    <row r="12" spans="1:2" ht="15">
      <c r="A12" s="64"/>
      <c r="B12" s="64" t="s">
        <v>38</v>
      </c>
    </row>
    <row r="15" ht="18">
      <c r="A15" s="63" t="s">
        <v>41</v>
      </c>
    </row>
    <row r="17" ht="15">
      <c r="A17" s="64" t="s">
        <v>53</v>
      </c>
    </row>
    <row r="18" spans="1:2" ht="15">
      <c r="A18" s="64"/>
      <c r="B18" s="64" t="s">
        <v>42</v>
      </c>
    </row>
    <row r="19" ht="15">
      <c r="A19" s="64"/>
    </row>
    <row r="20" ht="15">
      <c r="A20" s="64" t="s">
        <v>51</v>
      </c>
    </row>
    <row r="21" spans="1:2" ht="15">
      <c r="A21" s="64"/>
      <c r="B21" s="64" t="s">
        <v>43</v>
      </c>
    </row>
    <row r="22" ht="15">
      <c r="A22" s="64"/>
    </row>
    <row r="23" ht="15">
      <c r="A23" s="64" t="s">
        <v>44</v>
      </c>
    </row>
    <row r="24" spans="1:2" ht="15">
      <c r="A24" s="64"/>
      <c r="B24" s="64" t="s">
        <v>57</v>
      </c>
    </row>
    <row r="25" spans="1:2" ht="15">
      <c r="A25" s="64"/>
      <c r="B25" s="64" t="s">
        <v>58</v>
      </c>
    </row>
    <row r="27" ht="15">
      <c r="A27" s="64" t="s">
        <v>59</v>
      </c>
    </row>
    <row r="28" ht="15">
      <c r="B28" s="64" t="s">
        <v>60</v>
      </c>
    </row>
    <row r="29" ht="18">
      <c r="A29" s="63"/>
    </row>
    <row r="30" ht="18">
      <c r="A30" s="63" t="s">
        <v>45</v>
      </c>
    </row>
    <row r="31" ht="15">
      <c r="A31" s="64" t="s">
        <v>46</v>
      </c>
    </row>
    <row r="32" ht="15">
      <c r="B32" s="64" t="s">
        <v>47</v>
      </c>
    </row>
    <row r="33" ht="15">
      <c r="B33" s="64" t="s">
        <v>56</v>
      </c>
    </row>
    <row r="35" ht="15">
      <c r="A35" s="64" t="s">
        <v>48</v>
      </c>
    </row>
    <row r="36" ht="15">
      <c r="B36" s="64" t="s">
        <v>49</v>
      </c>
    </row>
    <row r="38" ht="15">
      <c r="A38" s="64" t="s">
        <v>52</v>
      </c>
    </row>
    <row r="39" ht="15">
      <c r="B39" s="64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Hight</dc:creator>
  <cp:keywords/>
  <dc:description/>
  <cp:lastModifiedBy>Bunce, Christine</cp:lastModifiedBy>
  <dcterms:created xsi:type="dcterms:W3CDTF">2003-02-06T19:15:49Z</dcterms:created>
  <dcterms:modified xsi:type="dcterms:W3CDTF">2024-01-03T21:51:18Z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0x010100008911C7861C264FAA48289DF4C295BB</vt:lpwstr>
  </property>
</Properties>
</file>